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136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<sst xmlns="http://schemas.openxmlformats.org/spreadsheetml/2006/main" count="65" uniqueCount="61">
  <si>
    <t>Operating Profit</t>
  </si>
  <si>
    <t>Interest (Expense)</t>
  </si>
  <si>
    <t>Interest Income</t>
  </si>
  <si>
    <t>Earnings / Profit Before Tax (EBT)</t>
  </si>
  <si>
    <t>Taxes</t>
  </si>
  <si>
    <t>Net Income</t>
  </si>
  <si>
    <t>Balance Sheet</t>
  </si>
  <si>
    <t>Inventory</t>
  </si>
  <si>
    <t>Other</t>
  </si>
  <si>
    <t>Cash Flow</t>
  </si>
  <si>
    <t>Operating Cash Flow:</t>
  </si>
  <si>
    <t>Depreciation</t>
  </si>
  <si>
    <t>Accounts Receivable</t>
  </si>
  <si>
    <t>Accounts Payable</t>
  </si>
  <si>
    <t>Total Operating Cash Flow</t>
  </si>
  <si>
    <t>Investing Cash Flow:</t>
  </si>
  <si>
    <t>Purchases of PP&amp;E (Capital Expenditures)</t>
  </si>
  <si>
    <t>Total Investing Cash Flow</t>
  </si>
  <si>
    <t>Financing Cash Flow:</t>
  </si>
  <si>
    <t>Sale of Stock</t>
  </si>
  <si>
    <t>Total Financing Cash Flow</t>
  </si>
  <si>
    <t>Net Cash Flow</t>
  </si>
  <si>
    <t>Cash Beginning of Period</t>
  </si>
  <si>
    <t>Cash End of Period</t>
  </si>
  <si>
    <t>Senior Debt</t>
  </si>
  <si>
    <t>Subordinated Debt</t>
  </si>
  <si>
    <t>Revolver</t>
  </si>
  <si>
    <t>Inputs:</t>
  </si>
  <si>
    <t>Tax Rate</t>
  </si>
  <si>
    <t>Revolver Interest</t>
  </si>
  <si>
    <t>Senior Interest</t>
  </si>
  <si>
    <t>Subordinated Interest</t>
  </si>
  <si>
    <t>(Payments To) / Borrowings From Revolver</t>
  </si>
  <si>
    <t>(Payments To) / Borrowings From Senior Debt</t>
  </si>
  <si>
    <t>(Payments To) / Borrowings From Subordinated Debt</t>
  </si>
  <si>
    <t xml:space="preserve">Total Debt </t>
  </si>
  <si>
    <t>Interest Expense</t>
  </si>
  <si>
    <t>Total Interest Expense</t>
  </si>
  <si>
    <t>Cash Interest Earnings</t>
  </si>
  <si>
    <t>Model Mechanics</t>
  </si>
  <si>
    <t>Revolver &amp; Debt Example</t>
  </si>
  <si>
    <t>Senior Debt Term</t>
  </si>
  <si>
    <t>years</t>
  </si>
  <si>
    <t>Subordinated Debt Term</t>
  </si>
  <si>
    <t>years (after senior paid)</t>
  </si>
  <si>
    <t>Revolver cash sweep minimum cash on hand</t>
  </si>
  <si>
    <t>Revolver:</t>
  </si>
  <si>
    <t>Cash Flow w/o revovler</t>
  </si>
  <si>
    <t>Cash on hand BOP</t>
  </si>
  <si>
    <t>Total available to pay revolver:</t>
  </si>
  <si>
    <t>Total available cash:</t>
  </si>
  <si>
    <t>Revolver Balance BOP:</t>
  </si>
  <si>
    <t>Payment (to) / from revolver</t>
  </si>
  <si>
    <t>Less, minimum cash for company under sweep:</t>
  </si>
  <si>
    <t>Projection Year:</t>
  </si>
  <si>
    <t>Debt to operating income</t>
  </si>
  <si>
    <t>Minimum covenant</t>
  </si>
  <si>
    <t>Credit Ratios and tests</t>
  </si>
  <si>
    <t>Revolver draw</t>
  </si>
  <si>
    <t>Changes in Working Capital</t>
  </si>
  <si>
    <t>Revolver maximum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</si>
</sst>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4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8" fontId="0" fillId="0" borderId="0" xfId="0" applyNumberFormat="1" applyAlignment="1">
      <alignment/>
    </xf>
    <xf numFmtId="0" fontId="43" fillId="0" borderId="0" xfId="0" applyFont="1" applyAlignment="1">
      <alignment/>
    </xf>
    <xf numFmtId="9" fontId="0" fillId="34" borderId="0" xfId="0" applyNumberFormat="1" applyFill="1" applyAlignment="1">
      <alignment/>
    </xf>
    <xf numFmtId="38" fontId="0" fillId="34" borderId="0" xfId="0" applyNumberFormat="1" applyFill="1" applyAlignment="1">
      <alignment/>
    </xf>
    <xf numFmtId="38" fontId="0" fillId="0" borderId="11" xfId="0" applyNumberFormat="1" applyBorder="1" applyAlignment="1">
      <alignment horizontal="right"/>
    </xf>
    <xf numFmtId="38" fontId="42" fillId="0" borderId="0" xfId="0" applyNumberFormat="1" applyFont="1" applyAlignment="1">
      <alignment/>
    </xf>
    <xf numFmtId="38" fontId="42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38" fontId="0" fillId="0" borderId="11" xfId="0" applyNumberFormat="1" applyBorder="1" applyAlignment="1">
      <alignment/>
    </xf>
    <xf numFmtId="38" fontId="42" fillId="0" borderId="12" xfId="0" applyNumberFormat="1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0" fontId="43" fillId="0" borderId="0" xfId="0" applyFont="1" applyFill="1" applyAlignment="1">
      <alignment horizontal="left" indent="1"/>
    </xf>
    <xf numFmtId="0" fontId="43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38" fontId="0" fillId="0" borderId="0" xfId="0" applyNumberFormat="1" applyFill="1" applyAlignment="1">
      <alignment/>
    </xf>
    <xf numFmtId="43" fontId="43" fillId="34" borderId="0" xfId="42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4.25"/>
  <cols>
    <col min="1" max="1" width="48.25390625" style="0" customWidth="1"/>
    <col min="2" max="2" width="8.00390625" style="0" customWidth="1"/>
    <col min="3" max="8" width="9.125" style="0" bestFit="1" customWidth="1"/>
    <col min="9" max="9" width="9.50390625" style="0" bestFit="1" customWidth="1"/>
    <col min="10" max="12" width="9.125" style="0" bestFit="1" customWidth="1"/>
  </cols>
  <sheetData>
    <row r="1" ht="14.25">
      <c r="A1" s="21" t="s">
        <v>40</v>
      </c>
    </row>
    <row r="2" spans="1:16" ht="14.25">
      <c r="A2" s="23" t="s">
        <v>54</v>
      </c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9">
        <v>11</v>
      </c>
      <c r="N2" s="9">
        <v>12</v>
      </c>
      <c r="O2" s="9">
        <v>13</v>
      </c>
      <c r="P2" s="9">
        <v>14</v>
      </c>
    </row>
    <row r="3" spans="2:16" ht="15" thickBot="1">
      <c r="B3" s="10">
        <v>2009</v>
      </c>
      <c r="C3" s="10">
        <v>2010</v>
      </c>
      <c r="D3" s="10">
        <v>2011</v>
      </c>
      <c r="E3" s="10">
        <v>2012</v>
      </c>
      <c r="F3" s="10">
        <v>2013</v>
      </c>
      <c r="G3" s="10">
        <v>2014</v>
      </c>
      <c r="H3" s="10">
        <v>2015</v>
      </c>
      <c r="I3" s="10">
        <v>2016</v>
      </c>
      <c r="J3" s="10">
        <v>2017</v>
      </c>
      <c r="K3" s="10">
        <v>2018</v>
      </c>
      <c r="L3" s="10">
        <v>2019</v>
      </c>
      <c r="M3" s="10">
        <v>2020</v>
      </c>
      <c r="N3" s="10">
        <v>2021</v>
      </c>
      <c r="O3" s="10">
        <v>2022</v>
      </c>
      <c r="P3" s="10">
        <v>2023</v>
      </c>
    </row>
    <row r="5" spans="1:16" ht="15">
      <c r="A5" s="3" t="s">
        <v>0</v>
      </c>
      <c r="B5" s="3"/>
      <c r="C5" s="17">
        <v>15000</v>
      </c>
      <c r="D5" s="17">
        <v>10000</v>
      </c>
      <c r="E5" s="17">
        <v>5000</v>
      </c>
      <c r="F5" s="17">
        <v>8000</v>
      </c>
      <c r="G5" s="17">
        <v>15000</v>
      </c>
      <c r="H5" s="17">
        <v>15000</v>
      </c>
      <c r="I5" s="17">
        <v>20000</v>
      </c>
      <c r="J5" s="17">
        <v>10000</v>
      </c>
      <c r="K5" s="17">
        <v>10000</v>
      </c>
      <c r="L5" s="17">
        <v>10000</v>
      </c>
      <c r="M5" s="17">
        <v>10000</v>
      </c>
      <c r="N5" s="17">
        <v>10000</v>
      </c>
      <c r="O5" s="17">
        <v>10000</v>
      </c>
      <c r="P5" s="17">
        <v>10000</v>
      </c>
    </row>
    <row r="6" spans="1:16" ht="14.25">
      <c r="A6" s="2"/>
      <c r="B6" s="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4.25">
      <c r="A7" s="2" t="s">
        <v>1</v>
      </c>
      <c r="B7" s="2"/>
      <c r="C7" s="11">
        <f>-C59</f>
        <v>-4803.571428571428</v>
      </c>
      <c r="D7" s="11">
        <f aca="true" t="shared" si="0" ref="D7:I7">-D59</f>
        <v>-4285.714285714286</v>
      </c>
      <c r="E7" s="11">
        <f t="shared" si="0"/>
        <v>-4079.1629408815916</v>
      </c>
      <c r="F7" s="11">
        <f t="shared" si="0"/>
        <v>-3952.275984921699</v>
      </c>
      <c r="G7" s="11">
        <f t="shared" si="0"/>
        <v>-3645.0728109346387</v>
      </c>
      <c r="H7" s="11">
        <f t="shared" si="0"/>
        <v>-3168.7501258047405</v>
      </c>
      <c r="I7" s="11">
        <f t="shared" si="0"/>
        <v>-2653.9332160530657</v>
      </c>
      <c r="J7" s="11">
        <f>-J59</f>
        <v>-2160</v>
      </c>
      <c r="K7" s="11">
        <f>-K59</f>
        <v>-1680</v>
      </c>
      <c r="L7" s="11">
        <f>-L59</f>
        <v>-1200</v>
      </c>
      <c r="M7" s="11">
        <f>-M59</f>
        <v>-720</v>
      </c>
      <c r="N7" s="11">
        <f>-N59</f>
        <v>-240</v>
      </c>
      <c r="O7" s="11">
        <f>-O59</f>
        <v>0</v>
      </c>
      <c r="P7" s="11">
        <f>-P59</f>
        <v>0</v>
      </c>
    </row>
    <row r="8" spans="1:16" ht="14.25">
      <c r="A8" s="2" t="s">
        <v>2</v>
      </c>
      <c r="B8" s="2"/>
      <c r="C8" s="11">
        <f>AVERAGE(B50:C50)*$C$90</f>
        <v>32.78198128484014</v>
      </c>
      <c r="D8" s="11">
        <f aca="true" t="shared" si="1" ref="D8:I8">AVERAGE(C50:D50)*$C$90</f>
        <v>9.378750983443247</v>
      </c>
      <c r="E8" s="11">
        <f t="shared" si="1"/>
        <v>1.5967696986031024</v>
      </c>
      <c r="F8" s="11">
        <f t="shared" si="1"/>
        <v>0</v>
      </c>
      <c r="G8" s="11">
        <f t="shared" si="1"/>
        <v>5</v>
      </c>
      <c r="H8" s="11">
        <f t="shared" si="1"/>
        <v>10</v>
      </c>
      <c r="I8" s="11">
        <f t="shared" si="1"/>
        <v>28.145107631823517</v>
      </c>
      <c r="J8" s="11">
        <f>AVERAGE(I50:J50)*$C$90</f>
        <v>48.243770953603196</v>
      </c>
      <c r="K8" s="11">
        <f>AVERAGE(J50:K50)*$C$90</f>
        <v>53.65565918703919</v>
      </c>
      <c r="L8" s="11">
        <f>AVERAGE(K50:L50)*$C$90</f>
        <v>62.08645975576187</v>
      </c>
      <c r="M8" s="11">
        <f>AVERAGE(L50:M50)*$C$90</f>
        <v>73.55494812017729</v>
      </c>
      <c r="N8" s="11">
        <f>AVERAGE(M50:N50)*$C$90</f>
        <v>88.08001651053247</v>
      </c>
      <c r="O8" s="11">
        <f>AVERAGE(N50:O50)*$C$90</f>
        <v>124.99655387873922</v>
      </c>
      <c r="P8" s="11">
        <f>AVERAGE(O50:P50)*$C$90</f>
        <v>182.95119189062424</v>
      </c>
    </row>
    <row r="9" spans="1:16" ht="14.25">
      <c r="A9" s="2"/>
      <c r="B9" s="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5">
      <c r="A10" s="3" t="s">
        <v>3</v>
      </c>
      <c r="B10" s="3"/>
      <c r="C10" s="16">
        <f>C5+C7+C8</f>
        <v>10229.210552713412</v>
      </c>
      <c r="D10" s="16">
        <f aca="true" t="shared" si="2" ref="D10:I10">D5+D7+D8</f>
        <v>5723.664465269157</v>
      </c>
      <c r="E10" s="16">
        <f t="shared" si="2"/>
        <v>922.4338288170115</v>
      </c>
      <c r="F10" s="16">
        <f t="shared" si="2"/>
        <v>4047.724015078301</v>
      </c>
      <c r="G10" s="16">
        <f t="shared" si="2"/>
        <v>11359.927189065362</v>
      </c>
      <c r="H10" s="16">
        <f t="shared" si="2"/>
        <v>11841.249874195259</v>
      </c>
      <c r="I10" s="16">
        <f t="shared" si="2"/>
        <v>17374.211891578758</v>
      </c>
      <c r="J10" s="16">
        <f>J5+J7+J8</f>
        <v>7888.243770953603</v>
      </c>
      <c r="K10" s="16">
        <f>K5+K7+K8</f>
        <v>8373.65565918704</v>
      </c>
      <c r="L10" s="16">
        <f>L5+L7+L8</f>
        <v>8862.086459755761</v>
      </c>
      <c r="M10" s="16">
        <f>M5+M7+M8</f>
        <v>9353.554948120178</v>
      </c>
      <c r="N10" s="16">
        <f>N5+N7+N8</f>
        <v>9848.080016510532</v>
      </c>
      <c r="O10" s="16">
        <f>O5+O7+O8</f>
        <v>10124.99655387874</v>
      </c>
      <c r="P10" s="16">
        <f>P5+P7+P8</f>
        <v>10182.951191890625</v>
      </c>
    </row>
    <row r="11" spans="1:16" ht="14.25">
      <c r="A11" s="2" t="s">
        <v>4</v>
      </c>
      <c r="B11" s="2"/>
      <c r="C11" s="11">
        <f>C10*$C$88</f>
        <v>3887.1000100310966</v>
      </c>
      <c r="D11" s="11">
        <f aca="true" t="shared" si="3" ref="D11:I11">D10*$C$88</f>
        <v>2174.9924968022797</v>
      </c>
      <c r="E11" s="11">
        <f t="shared" si="3"/>
        <v>350.5248549504644</v>
      </c>
      <c r="F11" s="11">
        <f t="shared" si="3"/>
        <v>1538.1351257297545</v>
      </c>
      <c r="G11" s="11">
        <f t="shared" si="3"/>
        <v>4316.772331844838</v>
      </c>
      <c r="H11" s="11">
        <f t="shared" si="3"/>
        <v>4499.674952194198</v>
      </c>
      <c r="I11" s="11">
        <f t="shared" si="3"/>
        <v>6602.200518799928</v>
      </c>
      <c r="J11" s="11">
        <f>J10*$C$88</f>
        <v>2997.5326329623695</v>
      </c>
      <c r="K11" s="11">
        <f>K10*$C$88</f>
        <v>3181.989150491075</v>
      </c>
      <c r="L11" s="11">
        <f>L10*$C$88</f>
        <v>3367.5928547071894</v>
      </c>
      <c r="M11" s="11">
        <f>M10*$C$88</f>
        <v>3554.3508802856677</v>
      </c>
      <c r="N11" s="11">
        <f>N10*$C$88</f>
        <v>3742.270406274002</v>
      </c>
      <c r="O11" s="11">
        <f>O10*$C$88</f>
        <v>3847.498690473921</v>
      </c>
      <c r="P11" s="11">
        <f>P10*$C$88</f>
        <v>3869.5214529184373</v>
      </c>
    </row>
    <row r="12" spans="1:16" ht="14.25">
      <c r="A12" s="2"/>
      <c r="B12" s="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.75" thickBot="1">
      <c r="A13" s="3" t="s">
        <v>5</v>
      </c>
      <c r="B13" s="3"/>
      <c r="C13" s="20">
        <f>C10-C11</f>
        <v>6342.110542682315</v>
      </c>
      <c r="D13" s="20">
        <f aca="true" t="shared" si="4" ref="D13:I13">D10-D11</f>
        <v>3548.671968466877</v>
      </c>
      <c r="E13" s="20">
        <f t="shared" si="4"/>
        <v>571.9089738665472</v>
      </c>
      <c r="F13" s="20">
        <f t="shared" si="4"/>
        <v>2509.588889348546</v>
      </c>
      <c r="G13" s="20">
        <f t="shared" si="4"/>
        <v>7043.154857220524</v>
      </c>
      <c r="H13" s="20">
        <f t="shared" si="4"/>
        <v>7341.57492200106</v>
      </c>
      <c r="I13" s="20">
        <f t="shared" si="4"/>
        <v>10772.01137277883</v>
      </c>
      <c r="J13" s="20">
        <f>J10-J11</f>
        <v>4890.711137991234</v>
      </c>
      <c r="K13" s="20">
        <f>K10-K11</f>
        <v>5191.666508695964</v>
      </c>
      <c r="L13" s="20">
        <f>L10-L11</f>
        <v>5494.493605048572</v>
      </c>
      <c r="M13" s="20">
        <f>M10-M11</f>
        <v>5799.20406783451</v>
      </c>
      <c r="N13" s="20">
        <f>N10-N11</f>
        <v>6105.80961023653</v>
      </c>
      <c r="O13" s="20">
        <f>O10-O11</f>
        <v>6277.497863404818</v>
      </c>
      <c r="P13" s="20">
        <f>P10-P11</f>
        <v>6313.429738972187</v>
      </c>
    </row>
    <row r="14" spans="1:16" ht="15" thickTop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>
      <c r="A15" s="1" t="s">
        <v>6</v>
      </c>
      <c r="B15" s="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3:16" ht="14.2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4.25">
      <c r="A17" s="2" t="s">
        <v>26</v>
      </c>
      <c r="B17" s="14">
        <v>5000</v>
      </c>
      <c r="C17" s="11">
        <f>B17+C41</f>
        <v>0</v>
      </c>
      <c r="D17" s="11">
        <f aca="true" t="shared" si="5" ref="D17:I17">C17+D41</f>
        <v>0</v>
      </c>
      <c r="E17" s="11">
        <f t="shared" si="5"/>
        <v>3894.451372127118</v>
      </c>
      <c r="F17" s="11">
        <f t="shared" si="5"/>
        <v>6170.576768492857</v>
      </c>
      <c r="G17" s="11">
        <f t="shared" si="5"/>
        <v>4913.136196986618</v>
      </c>
      <c r="H17" s="11">
        <f t="shared" si="5"/>
        <v>2357.2755606998435</v>
      </c>
      <c r="I17" s="11">
        <f t="shared" si="5"/>
        <v>0</v>
      </c>
      <c r="J17" s="11">
        <f>I17+J41</f>
        <v>0</v>
      </c>
      <c r="K17" s="11">
        <f>J17+K41</f>
        <v>0</v>
      </c>
      <c r="L17" s="11">
        <f>K17+L41</f>
        <v>0</v>
      </c>
      <c r="M17" s="11">
        <f>L17+M41</f>
        <v>0</v>
      </c>
      <c r="N17" s="11">
        <f>M17+N41</f>
        <v>0</v>
      </c>
      <c r="O17" s="11">
        <f>N17+O41</f>
        <v>0</v>
      </c>
      <c r="P17" s="11">
        <f>O17+P41</f>
        <v>0</v>
      </c>
    </row>
    <row r="18" spans="1:16" ht="14.25">
      <c r="A18" s="2" t="s">
        <v>24</v>
      </c>
      <c r="B18" s="14">
        <v>30000</v>
      </c>
      <c r="C18" s="11">
        <f aca="true" t="shared" si="6" ref="C18:I19">B18+C42</f>
        <v>25714.285714285714</v>
      </c>
      <c r="D18" s="11">
        <f t="shared" si="6"/>
        <v>21428.571428571428</v>
      </c>
      <c r="E18" s="11">
        <f t="shared" si="6"/>
        <v>17142.85714285714</v>
      </c>
      <c r="F18" s="11">
        <f t="shared" si="6"/>
        <v>12857.142857142855</v>
      </c>
      <c r="G18" s="11">
        <f t="shared" si="6"/>
        <v>8571.428571428569</v>
      </c>
      <c r="H18" s="11">
        <f t="shared" si="6"/>
        <v>4285.7142857142835</v>
      </c>
      <c r="I18" s="11">
        <f t="shared" si="6"/>
        <v>0</v>
      </c>
      <c r="J18" s="11">
        <f>I18+J42</f>
        <v>0</v>
      </c>
      <c r="K18" s="11">
        <f>J18+K42</f>
        <v>0</v>
      </c>
      <c r="L18" s="11">
        <f>K18+L42</f>
        <v>0</v>
      </c>
      <c r="M18" s="11">
        <f>L18+M42</f>
        <v>0</v>
      </c>
      <c r="N18" s="11">
        <f>M18+N42</f>
        <v>0</v>
      </c>
      <c r="O18" s="11">
        <f>N18+O42</f>
        <v>0</v>
      </c>
      <c r="P18" s="11">
        <f>O18+P42</f>
        <v>0</v>
      </c>
    </row>
    <row r="19" spans="1:16" ht="14.25">
      <c r="A19" s="2" t="s">
        <v>25</v>
      </c>
      <c r="B19" s="14">
        <v>20000</v>
      </c>
      <c r="C19" s="11">
        <f t="shared" si="6"/>
        <v>20000</v>
      </c>
      <c r="D19" s="11">
        <f t="shared" si="6"/>
        <v>20000</v>
      </c>
      <c r="E19" s="11">
        <f t="shared" si="6"/>
        <v>20000</v>
      </c>
      <c r="F19" s="11">
        <f t="shared" si="6"/>
        <v>20000</v>
      </c>
      <c r="G19" s="11">
        <f t="shared" si="6"/>
        <v>20000</v>
      </c>
      <c r="H19" s="11">
        <f t="shared" si="6"/>
        <v>20000</v>
      </c>
      <c r="I19" s="11">
        <f t="shared" si="6"/>
        <v>20000</v>
      </c>
      <c r="J19" s="11">
        <f>I19+J43</f>
        <v>16000</v>
      </c>
      <c r="K19" s="11">
        <f>J19+K43</f>
        <v>12000</v>
      </c>
      <c r="L19" s="11">
        <f>K19+L43</f>
        <v>8000</v>
      </c>
      <c r="M19" s="11">
        <f>L19+M43</f>
        <v>4000</v>
      </c>
      <c r="N19" s="11">
        <f>M19+N43</f>
        <v>0</v>
      </c>
      <c r="O19" s="11">
        <f>N19+O43</f>
        <v>0</v>
      </c>
      <c r="P19" s="11">
        <f>O19+P43</f>
        <v>0</v>
      </c>
    </row>
    <row r="20" spans="1:16" ht="14.25">
      <c r="A20" s="8" t="s">
        <v>35</v>
      </c>
      <c r="B20" s="15">
        <f>SUM(B17:B19)</f>
        <v>55000</v>
      </c>
      <c r="C20" s="15">
        <f>SUM(C17:C19)</f>
        <v>45714.28571428571</v>
      </c>
      <c r="D20" s="15">
        <f aca="true" t="shared" si="7" ref="D20:I20">SUM(D17:D19)</f>
        <v>41428.57142857143</v>
      </c>
      <c r="E20" s="15">
        <f t="shared" si="7"/>
        <v>41037.30851498426</v>
      </c>
      <c r="F20" s="15">
        <f t="shared" si="7"/>
        <v>39027.71962563571</v>
      </c>
      <c r="G20" s="15">
        <f t="shared" si="7"/>
        <v>33484.56476841519</v>
      </c>
      <c r="H20" s="15">
        <f t="shared" si="7"/>
        <v>26642.989846414126</v>
      </c>
      <c r="I20" s="15">
        <f t="shared" si="7"/>
        <v>20000</v>
      </c>
      <c r="J20" s="15">
        <f>SUM(J17:J19)</f>
        <v>16000</v>
      </c>
      <c r="K20" s="15">
        <f>SUM(K17:K19)</f>
        <v>12000</v>
      </c>
      <c r="L20" s="15">
        <f>SUM(L17:L19)</f>
        <v>8000</v>
      </c>
      <c r="M20" s="15">
        <f>SUM(M17:M19)</f>
        <v>4000</v>
      </c>
      <c r="N20" s="15">
        <f>SUM(N17:N19)</f>
        <v>0</v>
      </c>
      <c r="O20" s="15">
        <f>SUM(O17:O19)</f>
        <v>0</v>
      </c>
      <c r="P20" s="15">
        <f>SUM(P17:P19)</f>
        <v>0</v>
      </c>
    </row>
    <row r="21" spans="1:16" ht="14.25">
      <c r="A21" s="2"/>
      <c r="B21" s="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>
      <c r="A22" s="3"/>
      <c r="B22" s="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>
      <c r="A24" s="6" t="s">
        <v>9</v>
      </c>
      <c r="B24" s="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3:16" ht="14.2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4.25">
      <c r="A26" s="2" t="s">
        <v>10</v>
      </c>
      <c r="B26" s="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4.25">
      <c r="A27" s="4" t="s">
        <v>5</v>
      </c>
      <c r="B27" s="4"/>
      <c r="C27" s="11">
        <f>C13</f>
        <v>6342.110542682315</v>
      </c>
      <c r="D27" s="11">
        <f aca="true" t="shared" si="8" ref="D27:I27">D13</f>
        <v>3548.671968466877</v>
      </c>
      <c r="E27" s="11">
        <f t="shared" si="8"/>
        <v>571.9089738665472</v>
      </c>
      <c r="F27" s="11">
        <f t="shared" si="8"/>
        <v>2509.588889348546</v>
      </c>
      <c r="G27" s="11">
        <f t="shared" si="8"/>
        <v>7043.154857220524</v>
      </c>
      <c r="H27" s="11">
        <f t="shared" si="8"/>
        <v>7341.57492200106</v>
      </c>
      <c r="I27" s="11">
        <f t="shared" si="8"/>
        <v>10772.01137277883</v>
      </c>
      <c r="J27" s="11">
        <f>J13</f>
        <v>4890.711137991234</v>
      </c>
      <c r="K27" s="11">
        <f>K13</f>
        <v>5191.666508695964</v>
      </c>
      <c r="L27" s="11">
        <f>L13</f>
        <v>5494.493605048572</v>
      </c>
      <c r="M27" s="11">
        <f>M13</f>
        <v>5799.20406783451</v>
      </c>
      <c r="N27" s="11">
        <f>N13</f>
        <v>6105.80961023653</v>
      </c>
      <c r="O27" s="11">
        <f>O13</f>
        <v>6277.497863404818</v>
      </c>
      <c r="P27" s="11">
        <f>P13</f>
        <v>6313.429738972187</v>
      </c>
    </row>
    <row r="28" spans="1:16" ht="14.25">
      <c r="A28" s="4" t="s">
        <v>11</v>
      </c>
      <c r="B28" s="4"/>
      <c r="C28" s="14">
        <v>0</v>
      </c>
      <c r="D28" s="29">
        <f>C28</f>
        <v>0</v>
      </c>
      <c r="E28" s="29">
        <f aca="true" t="shared" si="9" ref="E28:P28">D28</f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9"/>
        <v>0</v>
      </c>
      <c r="O28" s="29">
        <f t="shared" si="9"/>
        <v>0</v>
      </c>
      <c r="P28" s="29">
        <f t="shared" si="9"/>
        <v>0</v>
      </c>
    </row>
    <row r="29" spans="1:16" ht="14.25">
      <c r="A29" s="4" t="s">
        <v>59</v>
      </c>
      <c r="B29" s="4"/>
      <c r="C29" s="14">
        <v>0</v>
      </c>
      <c r="D29" s="29">
        <f aca="true" t="shared" si="10" ref="D29:P33">C29</f>
        <v>0</v>
      </c>
      <c r="E29" s="29">
        <f t="shared" si="10"/>
        <v>0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0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10"/>
        <v>0</v>
      </c>
      <c r="O29" s="29">
        <f t="shared" si="10"/>
        <v>0</v>
      </c>
      <c r="P29" s="29">
        <f t="shared" si="10"/>
        <v>0</v>
      </c>
    </row>
    <row r="30" spans="1:16" ht="14.25">
      <c r="A30" s="7" t="s">
        <v>12</v>
      </c>
      <c r="B30" s="7"/>
      <c r="C30" s="14">
        <v>0</v>
      </c>
      <c r="D30" s="29">
        <f t="shared" si="10"/>
        <v>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0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10"/>
        <v>0</v>
      </c>
      <c r="O30" s="29">
        <f t="shared" si="10"/>
        <v>0</v>
      </c>
      <c r="P30" s="29">
        <f t="shared" si="10"/>
        <v>0</v>
      </c>
    </row>
    <row r="31" spans="1:16" ht="14.25">
      <c r="A31" s="7" t="s">
        <v>7</v>
      </c>
      <c r="B31" s="7"/>
      <c r="C31" s="14">
        <v>0</v>
      </c>
      <c r="D31" s="29">
        <f t="shared" si="10"/>
        <v>0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10"/>
        <v>0</v>
      </c>
      <c r="O31" s="29">
        <f t="shared" si="10"/>
        <v>0</v>
      </c>
      <c r="P31" s="29">
        <f t="shared" si="10"/>
        <v>0</v>
      </c>
    </row>
    <row r="32" spans="1:16" ht="14.25">
      <c r="A32" s="7" t="s">
        <v>13</v>
      </c>
      <c r="B32" s="7"/>
      <c r="C32" s="14">
        <v>0</v>
      </c>
      <c r="D32" s="29">
        <f t="shared" si="10"/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29">
        <f t="shared" si="10"/>
        <v>0</v>
      </c>
      <c r="O32" s="29">
        <f t="shared" si="10"/>
        <v>0</v>
      </c>
      <c r="P32" s="29">
        <f t="shared" si="10"/>
        <v>0</v>
      </c>
    </row>
    <row r="33" spans="1:16" ht="14.25">
      <c r="A33" s="7" t="s">
        <v>8</v>
      </c>
      <c r="B33" s="7"/>
      <c r="C33" s="14">
        <v>0</v>
      </c>
      <c r="D33" s="29">
        <f t="shared" si="10"/>
        <v>0</v>
      </c>
      <c r="E33" s="29">
        <f t="shared" si="10"/>
        <v>0</v>
      </c>
      <c r="F33" s="29">
        <f t="shared" si="10"/>
        <v>0</v>
      </c>
      <c r="G33" s="29">
        <f t="shared" si="10"/>
        <v>0</v>
      </c>
      <c r="H33" s="29">
        <f t="shared" si="10"/>
        <v>0</v>
      </c>
      <c r="I33" s="29">
        <f t="shared" si="10"/>
        <v>0</v>
      </c>
      <c r="J33" s="29">
        <f t="shared" si="10"/>
        <v>0</v>
      </c>
      <c r="K33" s="29">
        <f t="shared" si="10"/>
        <v>0</v>
      </c>
      <c r="L33" s="29">
        <f t="shared" si="10"/>
        <v>0</v>
      </c>
      <c r="M33" s="29">
        <f t="shared" si="10"/>
        <v>0</v>
      </c>
      <c r="N33" s="29">
        <f t="shared" si="10"/>
        <v>0</v>
      </c>
      <c r="O33" s="29">
        <f t="shared" si="10"/>
        <v>0</v>
      </c>
      <c r="P33" s="29">
        <f t="shared" si="10"/>
        <v>0</v>
      </c>
    </row>
    <row r="34" spans="1:16" ht="14.25">
      <c r="A34" s="2" t="s">
        <v>14</v>
      </c>
      <c r="B34" s="4"/>
      <c r="C34" s="19">
        <f>SUM(C27:C33)</f>
        <v>6342.110542682315</v>
      </c>
      <c r="D34" s="19">
        <f aca="true" t="shared" si="11" ref="D34:I34">SUM(D27:D33)</f>
        <v>3548.671968466877</v>
      </c>
      <c r="E34" s="19">
        <f t="shared" si="11"/>
        <v>571.9089738665472</v>
      </c>
      <c r="F34" s="19">
        <f t="shared" si="11"/>
        <v>2509.588889348546</v>
      </c>
      <c r="G34" s="19">
        <f t="shared" si="11"/>
        <v>7043.154857220524</v>
      </c>
      <c r="H34" s="19">
        <f t="shared" si="11"/>
        <v>7341.57492200106</v>
      </c>
      <c r="I34" s="19">
        <f t="shared" si="11"/>
        <v>10772.01137277883</v>
      </c>
      <c r="J34" s="19">
        <f>SUM(J27:J33)</f>
        <v>4890.711137991234</v>
      </c>
      <c r="K34" s="19">
        <f>SUM(K27:K33)</f>
        <v>5191.666508695964</v>
      </c>
      <c r="L34" s="19">
        <f>SUM(L27:L33)</f>
        <v>5494.493605048572</v>
      </c>
      <c r="M34" s="19">
        <f>SUM(M27:M33)</f>
        <v>5799.20406783451</v>
      </c>
      <c r="N34" s="19">
        <f>SUM(N27:N33)</f>
        <v>6105.80961023653</v>
      </c>
      <c r="O34" s="19">
        <f>SUM(O27:O33)</f>
        <v>6277.497863404818</v>
      </c>
      <c r="P34" s="19">
        <f>SUM(P27:P33)</f>
        <v>6313.429738972187</v>
      </c>
    </row>
    <row r="35" spans="3:16" ht="14.2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4.25">
      <c r="A36" s="2" t="s">
        <v>15</v>
      </c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4.25">
      <c r="A37" s="4" t="s">
        <v>16</v>
      </c>
      <c r="B37" s="4"/>
      <c r="C37" s="14">
        <v>-500</v>
      </c>
      <c r="D37" s="29">
        <f>C37</f>
        <v>-500</v>
      </c>
      <c r="E37" s="29">
        <f aca="true" t="shared" si="12" ref="E37:P37">D37</f>
        <v>-500</v>
      </c>
      <c r="F37" s="29">
        <f t="shared" si="12"/>
        <v>-500</v>
      </c>
      <c r="G37" s="29">
        <f t="shared" si="12"/>
        <v>-500</v>
      </c>
      <c r="H37" s="29">
        <f t="shared" si="12"/>
        <v>-500</v>
      </c>
      <c r="I37" s="29">
        <f t="shared" si="12"/>
        <v>-500</v>
      </c>
      <c r="J37" s="29">
        <f t="shared" si="12"/>
        <v>-500</v>
      </c>
      <c r="K37" s="29">
        <f t="shared" si="12"/>
        <v>-500</v>
      </c>
      <c r="L37" s="29">
        <f t="shared" si="12"/>
        <v>-500</v>
      </c>
      <c r="M37" s="29">
        <f t="shared" si="12"/>
        <v>-500</v>
      </c>
      <c r="N37" s="29">
        <f t="shared" si="12"/>
        <v>-500</v>
      </c>
      <c r="O37" s="29">
        <f t="shared" si="12"/>
        <v>-500</v>
      </c>
      <c r="P37" s="29">
        <f t="shared" si="12"/>
        <v>-500</v>
      </c>
    </row>
    <row r="38" spans="1:16" ht="14.25">
      <c r="A38" s="2" t="s">
        <v>17</v>
      </c>
      <c r="B38" s="2"/>
      <c r="C38" s="19">
        <f>SUM(C37)</f>
        <v>-500</v>
      </c>
      <c r="D38" s="19">
        <f aca="true" t="shared" si="13" ref="D38:I38">SUM(D37)</f>
        <v>-500</v>
      </c>
      <c r="E38" s="19">
        <f t="shared" si="13"/>
        <v>-500</v>
      </c>
      <c r="F38" s="19">
        <f t="shared" si="13"/>
        <v>-500</v>
      </c>
      <c r="G38" s="19">
        <f t="shared" si="13"/>
        <v>-500</v>
      </c>
      <c r="H38" s="19">
        <f t="shared" si="13"/>
        <v>-500</v>
      </c>
      <c r="I38" s="19">
        <f t="shared" si="13"/>
        <v>-500</v>
      </c>
      <c r="J38" s="19">
        <f>SUM(J37)</f>
        <v>-500</v>
      </c>
      <c r="K38" s="19">
        <f>SUM(K37)</f>
        <v>-500</v>
      </c>
      <c r="L38" s="19">
        <f>SUM(L37)</f>
        <v>-500</v>
      </c>
      <c r="M38" s="19">
        <f>SUM(M37)</f>
        <v>-500</v>
      </c>
      <c r="N38" s="19">
        <f>SUM(N37)</f>
        <v>-500</v>
      </c>
      <c r="O38" s="19">
        <f>SUM(O37)</f>
        <v>-500</v>
      </c>
      <c r="P38" s="19">
        <f>SUM(P37)</f>
        <v>-500</v>
      </c>
    </row>
    <row r="39" spans="3:16" ht="14.2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4.25">
      <c r="A40" s="2" t="s">
        <v>18</v>
      </c>
      <c r="B40" s="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4.25">
      <c r="A41" s="4" t="s">
        <v>32</v>
      </c>
      <c r="B41" s="4"/>
      <c r="C41" s="11">
        <f>C69</f>
        <v>-5000</v>
      </c>
      <c r="D41" s="11">
        <f aca="true" t="shared" si="14" ref="D41:I41">D69</f>
        <v>0</v>
      </c>
      <c r="E41" s="11">
        <f t="shared" si="14"/>
        <v>3894.451372127118</v>
      </c>
      <c r="F41" s="11">
        <f t="shared" si="14"/>
        <v>2276.125396365739</v>
      </c>
      <c r="G41" s="11">
        <f t="shared" si="14"/>
        <v>-1257.4405715062385</v>
      </c>
      <c r="H41" s="11">
        <f t="shared" si="14"/>
        <v>-2555.860636286775</v>
      </c>
      <c r="I41" s="11">
        <f t="shared" si="14"/>
        <v>-2357.2755606998435</v>
      </c>
      <c r="J41" s="11">
        <f>J69</f>
        <v>0</v>
      </c>
      <c r="K41" s="11">
        <f>K69</f>
        <v>0</v>
      </c>
      <c r="L41" s="11">
        <f>L69</f>
        <v>0</v>
      </c>
      <c r="M41" s="11">
        <f>M69</f>
        <v>0</v>
      </c>
      <c r="N41" s="11">
        <f>N69</f>
        <v>0</v>
      </c>
      <c r="O41" s="11">
        <f>O69</f>
        <v>0</v>
      </c>
      <c r="P41" s="11">
        <f>P69</f>
        <v>0</v>
      </c>
    </row>
    <row r="42" spans="1:16" ht="14.25">
      <c r="A42" s="4" t="s">
        <v>33</v>
      </c>
      <c r="B42" s="4"/>
      <c r="C42" s="11">
        <f>IF(-$B$18/$C$95+B18&lt;=0,-B18,-$B$18/$C$95)</f>
        <v>-4285.714285714285</v>
      </c>
      <c r="D42" s="11">
        <f aca="true" t="shared" si="15" ref="D42:I42">IF(-$B$18/$C$95+C18&lt;=0,-C18,-$B$18/$C$95)</f>
        <v>-4285.714285714285</v>
      </c>
      <c r="E42" s="11">
        <f t="shared" si="15"/>
        <v>-4285.714285714285</v>
      </c>
      <c r="F42" s="11">
        <f t="shared" si="15"/>
        <v>-4285.714285714285</v>
      </c>
      <c r="G42" s="11">
        <f t="shared" si="15"/>
        <v>-4285.714285714285</v>
      </c>
      <c r="H42" s="11">
        <f t="shared" si="15"/>
        <v>-4285.714285714285</v>
      </c>
      <c r="I42" s="11">
        <f t="shared" si="15"/>
        <v>-4285.7142857142835</v>
      </c>
      <c r="J42" s="11">
        <f>IF(-$B$18/$C$95+I18&lt;=0,-I18,-$B$18/$C$95)</f>
        <v>0</v>
      </c>
      <c r="K42" s="11">
        <f>IF(-$B$18/$C$95+J18&lt;=0,-J18,-$B$18/$C$95)</f>
        <v>0</v>
      </c>
      <c r="L42" s="11">
        <f>IF(-$B$18/$C$95+K18&lt;=0,-K18,-$B$18/$C$95)</f>
        <v>0</v>
      </c>
      <c r="M42" s="11">
        <f>IF(-$B$18/$C$95+L18&lt;=0,-L18,-$B$18/$C$95)</f>
        <v>0</v>
      </c>
      <c r="N42" s="11">
        <f>IF(-$B$18/$C$95+M18&lt;=0,-M18,-$B$18/$C$95)</f>
        <v>0</v>
      </c>
      <c r="O42" s="11">
        <f>IF(-$B$18/$C$95+N18&lt;=0,-N18,-$B$18/$C$95)</f>
        <v>0</v>
      </c>
      <c r="P42" s="11">
        <f>IF(-$B$18/$C$95+O18&lt;=0,-O18,-$B$18/$C$95)</f>
        <v>0</v>
      </c>
    </row>
    <row r="43" spans="1:16" ht="14.25">
      <c r="A43" s="4" t="s">
        <v>34</v>
      </c>
      <c r="B43" s="4"/>
      <c r="C43" s="11">
        <f>IF(B18&gt;0,0,IF(-$B$19/$C$96+B19&lt;=0,-B19,-$B$19/$C$96))</f>
        <v>0</v>
      </c>
      <c r="D43" s="11">
        <f aca="true" t="shared" si="16" ref="D43:I43">IF(C18&gt;0,0,IF(-$B$19/$C$96+C19&lt;=0,-C19,-$B$19/$C$96))</f>
        <v>0</v>
      </c>
      <c r="E43" s="11">
        <f t="shared" si="16"/>
        <v>0</v>
      </c>
      <c r="F43" s="11">
        <f t="shared" si="16"/>
        <v>0</v>
      </c>
      <c r="G43" s="11">
        <f t="shared" si="16"/>
        <v>0</v>
      </c>
      <c r="H43" s="11">
        <f t="shared" si="16"/>
        <v>0</v>
      </c>
      <c r="I43" s="11">
        <f t="shared" si="16"/>
        <v>0</v>
      </c>
      <c r="J43" s="11">
        <f>IF(I18&gt;0,0,IF(-$B$19/$C$96+I19&lt;=0,-I19,-$B$19/$C$96))</f>
        <v>-4000</v>
      </c>
      <c r="K43" s="11">
        <f>IF(J18&gt;0,0,IF(-$B$19/$C$96+J19&lt;=0,-J19,-$B$19/$C$96))</f>
        <v>-4000</v>
      </c>
      <c r="L43" s="11">
        <f>IF(K18&gt;0,0,IF(-$B$19/$C$96+K19&lt;=0,-K19,-$B$19/$C$96))</f>
        <v>-4000</v>
      </c>
      <c r="M43" s="11">
        <f>IF(L18&gt;0,0,IF(-$B$19/$C$96+L19&lt;=0,-L19,-$B$19/$C$96))</f>
        <v>-4000</v>
      </c>
      <c r="N43" s="11">
        <f>IF(M18&gt;0,0,IF(-$B$19/$C$96+M19&lt;=0,-M19,-$B$19/$C$96))</f>
        <v>-4000</v>
      </c>
      <c r="O43" s="11">
        <f>IF(N18&gt;0,0,IF(-$B$19/$C$96+N19&lt;=0,-N19,-$B$19/$C$96))</f>
        <v>0</v>
      </c>
      <c r="P43" s="11">
        <f>IF(O18&gt;0,0,IF(-$B$19/$C$96+O19&lt;=0,-O19,-$B$19/$C$96))</f>
        <v>0</v>
      </c>
    </row>
    <row r="44" spans="1:16" ht="14.25">
      <c r="A44" s="4" t="s">
        <v>19</v>
      </c>
      <c r="B44" s="4"/>
      <c r="C44" s="14">
        <v>0</v>
      </c>
      <c r="D44" s="29">
        <f>C44</f>
        <v>0</v>
      </c>
      <c r="E44" s="29">
        <f aca="true" t="shared" si="17" ref="E44:P44">D44</f>
        <v>0</v>
      </c>
      <c r="F44" s="29">
        <f t="shared" si="17"/>
        <v>0</v>
      </c>
      <c r="G44" s="29">
        <f t="shared" si="17"/>
        <v>0</v>
      </c>
      <c r="H44" s="29">
        <f t="shared" si="17"/>
        <v>0</v>
      </c>
      <c r="I44" s="29">
        <f t="shared" si="17"/>
        <v>0</v>
      </c>
      <c r="J44" s="29">
        <f t="shared" si="17"/>
        <v>0</v>
      </c>
      <c r="K44" s="29">
        <f t="shared" si="17"/>
        <v>0</v>
      </c>
      <c r="L44" s="29">
        <f t="shared" si="17"/>
        <v>0</v>
      </c>
      <c r="M44" s="29">
        <f t="shared" si="17"/>
        <v>0</v>
      </c>
      <c r="N44" s="29">
        <f t="shared" si="17"/>
        <v>0</v>
      </c>
      <c r="O44" s="29">
        <f t="shared" si="17"/>
        <v>0</v>
      </c>
      <c r="P44" s="29">
        <f t="shared" si="17"/>
        <v>0</v>
      </c>
    </row>
    <row r="45" spans="1:16" ht="14.25">
      <c r="A45" s="2" t="s">
        <v>20</v>
      </c>
      <c r="B45" s="2"/>
      <c r="C45" s="19">
        <f>SUM(C41:C44)</f>
        <v>-9285.714285714286</v>
      </c>
      <c r="D45" s="19">
        <f aca="true" t="shared" si="18" ref="D45:I45">SUM(D41:D44)</f>
        <v>-4285.714285714285</v>
      </c>
      <c r="E45" s="19">
        <f t="shared" si="18"/>
        <v>-391.26291358716753</v>
      </c>
      <c r="F45" s="19">
        <f t="shared" si="18"/>
        <v>-2009.5888893485462</v>
      </c>
      <c r="G45" s="19">
        <f t="shared" si="18"/>
        <v>-5543.154857220524</v>
      </c>
      <c r="H45" s="19">
        <f t="shared" si="18"/>
        <v>-6841.57492200106</v>
      </c>
      <c r="I45" s="19">
        <f t="shared" si="18"/>
        <v>-6642.989846414127</v>
      </c>
      <c r="J45" s="19">
        <f>SUM(J41:J44)</f>
        <v>-4000</v>
      </c>
      <c r="K45" s="19">
        <f>SUM(K41:K44)</f>
        <v>-4000</v>
      </c>
      <c r="L45" s="19">
        <f>SUM(L41:L44)</f>
        <v>-4000</v>
      </c>
      <c r="M45" s="19">
        <f>SUM(M41:M44)</f>
        <v>-4000</v>
      </c>
      <c r="N45" s="19">
        <f>SUM(N41:N44)</f>
        <v>-4000</v>
      </c>
      <c r="O45" s="19">
        <f>SUM(O41:O44)</f>
        <v>0</v>
      </c>
      <c r="P45" s="19">
        <f>SUM(P41:P44)</f>
        <v>0</v>
      </c>
    </row>
    <row r="46" spans="1:16" ht="14.25">
      <c r="A46" s="2"/>
      <c r="B46" s="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5">
      <c r="A47" s="3" t="s">
        <v>21</v>
      </c>
      <c r="B47" s="3"/>
      <c r="C47" s="16">
        <f>C45+C38+C34</f>
        <v>-3443.603743031971</v>
      </c>
      <c r="D47" s="16">
        <f aca="true" t="shared" si="19" ref="D47:I47">D45+D38+D34</f>
        <v>-1237.0423172474084</v>
      </c>
      <c r="E47" s="16">
        <f t="shared" si="19"/>
        <v>-319.35393972062036</v>
      </c>
      <c r="F47" s="16">
        <f t="shared" si="19"/>
        <v>0</v>
      </c>
      <c r="G47" s="16">
        <f t="shared" si="19"/>
        <v>1000</v>
      </c>
      <c r="H47" s="16">
        <f t="shared" si="19"/>
        <v>0</v>
      </c>
      <c r="I47" s="16">
        <f t="shared" si="19"/>
        <v>3629.0215263647033</v>
      </c>
      <c r="J47" s="16">
        <f>J45+J38+J34</f>
        <v>390.71113799123395</v>
      </c>
      <c r="K47" s="16">
        <f>K45+K38+K34</f>
        <v>691.6665086959638</v>
      </c>
      <c r="L47" s="16">
        <f>L45+L38+L34</f>
        <v>994.4936050485721</v>
      </c>
      <c r="M47" s="16">
        <f>M45+M38+M34</f>
        <v>1299.2040678345102</v>
      </c>
      <c r="N47" s="16">
        <f>N45+N38+N34</f>
        <v>1605.8096102365298</v>
      </c>
      <c r="O47" s="16">
        <f>O45+O38+O34</f>
        <v>5777.497863404818</v>
      </c>
      <c r="P47" s="16">
        <f>P45+P38+P34</f>
        <v>5813.429738972187</v>
      </c>
    </row>
    <row r="48" spans="1:16" ht="14.25">
      <c r="A48" s="2"/>
      <c r="B48" s="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4.25">
      <c r="A49" s="2" t="s">
        <v>22</v>
      </c>
      <c r="B49" s="2"/>
      <c r="C49" s="11">
        <f>B50</f>
        <v>5000</v>
      </c>
      <c r="D49" s="11">
        <f aca="true" t="shared" si="20" ref="D49:P49">C50</f>
        <v>1556.3962569680289</v>
      </c>
      <c r="E49" s="11">
        <f t="shared" si="20"/>
        <v>319.3539397206205</v>
      </c>
      <c r="F49" s="11">
        <f t="shared" si="20"/>
        <v>0</v>
      </c>
      <c r="G49" s="11">
        <f t="shared" si="20"/>
        <v>0</v>
      </c>
      <c r="H49" s="11">
        <f t="shared" si="20"/>
        <v>1000</v>
      </c>
      <c r="I49" s="11">
        <f t="shared" si="20"/>
        <v>1000</v>
      </c>
      <c r="J49" s="11">
        <f t="shared" si="20"/>
        <v>4629.021526364703</v>
      </c>
      <c r="K49" s="11">
        <f t="shared" si="20"/>
        <v>5019.732664355937</v>
      </c>
      <c r="L49" s="11">
        <f t="shared" si="20"/>
        <v>5711.399173051901</v>
      </c>
      <c r="M49" s="11">
        <f t="shared" si="20"/>
        <v>6705.892778100473</v>
      </c>
      <c r="N49" s="11">
        <f t="shared" si="20"/>
        <v>8005.096845934983</v>
      </c>
      <c r="O49" s="11">
        <f t="shared" si="20"/>
        <v>9610.906456171513</v>
      </c>
      <c r="P49" s="11">
        <f t="shared" si="20"/>
        <v>15388.404319576332</v>
      </c>
    </row>
    <row r="50" spans="1:16" ht="14.25">
      <c r="A50" s="2" t="s">
        <v>23</v>
      </c>
      <c r="B50" s="14">
        <v>5000</v>
      </c>
      <c r="C50" s="11">
        <f>C49+C47</f>
        <v>1556.3962569680289</v>
      </c>
      <c r="D50" s="11">
        <f aca="true" t="shared" si="21" ref="D50:I50">D49+D47</f>
        <v>319.3539397206205</v>
      </c>
      <c r="E50" s="11">
        <f t="shared" si="21"/>
        <v>0</v>
      </c>
      <c r="F50" s="11">
        <f t="shared" si="21"/>
        <v>0</v>
      </c>
      <c r="G50" s="11">
        <f t="shared" si="21"/>
        <v>1000</v>
      </c>
      <c r="H50" s="11">
        <f t="shared" si="21"/>
        <v>1000</v>
      </c>
      <c r="I50" s="11">
        <f t="shared" si="21"/>
        <v>4629.021526364703</v>
      </c>
      <c r="J50" s="11">
        <f>J49+J47</f>
        <v>5019.732664355937</v>
      </c>
      <c r="K50" s="11">
        <f>K49+K47</f>
        <v>5711.399173051901</v>
      </c>
      <c r="L50" s="11">
        <f>L49+L47</f>
        <v>6705.892778100473</v>
      </c>
      <c r="M50" s="11">
        <f>M49+M47</f>
        <v>8005.096845934983</v>
      </c>
      <c r="N50" s="11">
        <f>N49+N47</f>
        <v>9610.906456171513</v>
      </c>
      <c r="O50" s="11">
        <f>O49+O47</f>
        <v>15388.404319576332</v>
      </c>
      <c r="P50" s="11">
        <f>P49+P47</f>
        <v>21201.83405854852</v>
      </c>
    </row>
    <row r="52" spans="1:16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ht="14.25">
      <c r="A53" s="12" t="s">
        <v>39</v>
      </c>
    </row>
    <row r="55" ht="14.25">
      <c r="A55" t="s">
        <v>36</v>
      </c>
    </row>
    <row r="56" spans="1:16" ht="14.25">
      <c r="A56" s="2" t="s">
        <v>29</v>
      </c>
      <c r="C56" s="11">
        <f>AVERAGE(B17:C17)*$C$91</f>
        <v>175.00000000000003</v>
      </c>
      <c r="D56" s="11">
        <f aca="true" t="shared" si="22" ref="D56:I56">AVERAGE(C17:D17)*$C$91</f>
        <v>0</v>
      </c>
      <c r="E56" s="11">
        <f t="shared" si="22"/>
        <v>136.30579802444913</v>
      </c>
      <c r="F56" s="11">
        <f t="shared" si="22"/>
        <v>352.2759849216992</v>
      </c>
      <c r="G56" s="11">
        <f t="shared" si="22"/>
        <v>387.92995379178166</v>
      </c>
      <c r="H56" s="11">
        <f t="shared" si="22"/>
        <v>254.46441151902619</v>
      </c>
      <c r="I56" s="11">
        <f t="shared" si="22"/>
        <v>82.50464462449453</v>
      </c>
      <c r="J56" s="11">
        <f>AVERAGE(I17:J17)*$C$91</f>
        <v>0</v>
      </c>
      <c r="K56" s="11">
        <f>AVERAGE(J17:K17)*$C$91</f>
        <v>0</v>
      </c>
      <c r="L56" s="11">
        <f>AVERAGE(K17:L17)*$C$91</f>
        <v>0</v>
      </c>
      <c r="M56" s="11">
        <f>AVERAGE(L17:M17)*$C$91</f>
        <v>0</v>
      </c>
      <c r="N56" s="11">
        <f>AVERAGE(M17:N17)*$C$91</f>
        <v>0</v>
      </c>
      <c r="O56" s="11">
        <f>AVERAGE(N17:O17)*$C$91</f>
        <v>0</v>
      </c>
      <c r="P56" s="11">
        <f>AVERAGE(O17:P17)*$C$91</f>
        <v>0</v>
      </c>
    </row>
    <row r="57" spans="1:16" ht="14.25">
      <c r="A57" s="2" t="s">
        <v>30</v>
      </c>
      <c r="C57" s="11">
        <f>AVERAGE(B18:C18)*$C$92</f>
        <v>2228.5714285714284</v>
      </c>
      <c r="D57" s="11">
        <f aca="true" t="shared" si="23" ref="D57:I57">AVERAGE(C18:D18)*$C$92</f>
        <v>1885.7142857142858</v>
      </c>
      <c r="E57" s="11">
        <f t="shared" si="23"/>
        <v>1542.8571428571427</v>
      </c>
      <c r="F57" s="11">
        <f t="shared" si="23"/>
        <v>1199.9999999999998</v>
      </c>
      <c r="G57" s="11">
        <f t="shared" si="23"/>
        <v>857.142857142857</v>
      </c>
      <c r="H57" s="11">
        <f t="shared" si="23"/>
        <v>514.2857142857141</v>
      </c>
      <c r="I57" s="11">
        <f t="shared" si="23"/>
        <v>171.42857142857133</v>
      </c>
      <c r="J57" s="11">
        <f>AVERAGE(I18:J18)*$C$92</f>
        <v>0</v>
      </c>
      <c r="K57" s="11">
        <f>AVERAGE(J18:K18)*$C$92</f>
        <v>0</v>
      </c>
      <c r="L57" s="11">
        <f>AVERAGE(K18:L18)*$C$92</f>
        <v>0</v>
      </c>
      <c r="M57" s="11">
        <f>AVERAGE(L18:M18)*$C$92</f>
        <v>0</v>
      </c>
      <c r="N57" s="11">
        <f>AVERAGE(M18:N18)*$C$92</f>
        <v>0</v>
      </c>
      <c r="O57" s="11">
        <f>AVERAGE(N18:O18)*$C$92</f>
        <v>0</v>
      </c>
      <c r="P57" s="11">
        <f>AVERAGE(O18:P18)*$C$92</f>
        <v>0</v>
      </c>
    </row>
    <row r="58" spans="1:16" ht="14.25">
      <c r="A58" s="2" t="s">
        <v>31</v>
      </c>
      <c r="C58" s="11">
        <f>AVERAGE(B19:C19)*$C$93</f>
        <v>2400</v>
      </c>
      <c r="D58" s="11">
        <f aca="true" t="shared" si="24" ref="D58:I58">AVERAGE(C19:D19)*$C$93</f>
        <v>2400</v>
      </c>
      <c r="E58" s="11">
        <f t="shared" si="24"/>
        <v>2400</v>
      </c>
      <c r="F58" s="11">
        <f t="shared" si="24"/>
        <v>2400</v>
      </c>
      <c r="G58" s="11">
        <f t="shared" si="24"/>
        <v>2400</v>
      </c>
      <c r="H58" s="11">
        <f t="shared" si="24"/>
        <v>2400</v>
      </c>
      <c r="I58" s="11">
        <f t="shared" si="24"/>
        <v>2400</v>
      </c>
      <c r="J58" s="11">
        <f>AVERAGE(I19:J19)*$C$93</f>
        <v>2160</v>
      </c>
      <c r="K58" s="11">
        <f>AVERAGE(J19:K19)*$C$93</f>
        <v>1680</v>
      </c>
      <c r="L58" s="11">
        <f>AVERAGE(K19:L19)*$C$93</f>
        <v>1200</v>
      </c>
      <c r="M58" s="11">
        <f>AVERAGE(L19:M19)*$C$93</f>
        <v>720</v>
      </c>
      <c r="N58" s="11">
        <f>AVERAGE(M19:N19)*$C$93</f>
        <v>240</v>
      </c>
      <c r="O58" s="11">
        <f>AVERAGE(N19:O19)*$C$93</f>
        <v>0</v>
      </c>
      <c r="P58" s="11">
        <f>AVERAGE(O19:P19)*$C$93</f>
        <v>0</v>
      </c>
    </row>
    <row r="59" spans="1:16" ht="14.25">
      <c r="A59" s="8" t="s">
        <v>37</v>
      </c>
      <c r="C59" s="19">
        <f>SUM(C56:C58)</f>
        <v>4803.571428571428</v>
      </c>
      <c r="D59" s="19">
        <f aca="true" t="shared" si="25" ref="D59:I59">SUM(D56:D58)</f>
        <v>4285.714285714286</v>
      </c>
      <c r="E59" s="19">
        <f t="shared" si="25"/>
        <v>4079.1629408815916</v>
      </c>
      <c r="F59" s="19">
        <f t="shared" si="25"/>
        <v>3952.275984921699</v>
      </c>
      <c r="G59" s="19">
        <f t="shared" si="25"/>
        <v>3645.0728109346387</v>
      </c>
      <c r="H59" s="19">
        <f t="shared" si="25"/>
        <v>3168.7501258047405</v>
      </c>
      <c r="I59" s="19">
        <f t="shared" si="25"/>
        <v>2653.9332160530657</v>
      </c>
      <c r="J59" s="19">
        <f>SUM(J56:J58)</f>
        <v>2160</v>
      </c>
      <c r="K59" s="19">
        <f>SUM(K56:K58)</f>
        <v>1680</v>
      </c>
      <c r="L59" s="19">
        <f>SUM(L56:L58)</f>
        <v>1200</v>
      </c>
      <c r="M59" s="19">
        <f>SUM(M56:M58)</f>
        <v>720</v>
      </c>
      <c r="N59" s="19">
        <f>SUM(N56:N58)</f>
        <v>240</v>
      </c>
      <c r="O59" s="19">
        <f>SUM(O56:O58)</f>
        <v>0</v>
      </c>
      <c r="P59" s="19">
        <f>SUM(P56:P58)</f>
        <v>0</v>
      </c>
    </row>
    <row r="61" ht="14.25">
      <c r="A61" s="8" t="s">
        <v>46</v>
      </c>
    </row>
    <row r="62" spans="1:16" ht="14.25">
      <c r="A62" s="4" t="s">
        <v>47</v>
      </c>
      <c r="C62" s="11">
        <f>C34+C38+C42+C43+C44</f>
        <v>1556.3962569680298</v>
      </c>
      <c r="D62" s="11">
        <f aca="true" t="shared" si="26" ref="D62:I62">D34+D38+D42+D43+D44</f>
        <v>-1237.0423172474084</v>
      </c>
      <c r="E62" s="11">
        <f t="shared" si="26"/>
        <v>-4213.805311847738</v>
      </c>
      <c r="F62" s="11">
        <f t="shared" si="26"/>
        <v>-2276.125396365739</v>
      </c>
      <c r="G62" s="11">
        <f t="shared" si="26"/>
        <v>2257.4405715062385</v>
      </c>
      <c r="H62" s="11">
        <f t="shared" si="26"/>
        <v>2555.860636286775</v>
      </c>
      <c r="I62" s="11">
        <f t="shared" si="26"/>
        <v>5986.297087064547</v>
      </c>
      <c r="J62" s="11">
        <f>J34+J38+J42+J43+J44</f>
        <v>390.71113799123395</v>
      </c>
      <c r="K62" s="11">
        <f>K34+K38+K42+K43+K44</f>
        <v>691.6665086959638</v>
      </c>
      <c r="L62" s="11">
        <f>L34+L38+L42+L43+L44</f>
        <v>994.4936050485721</v>
      </c>
      <c r="M62" s="11">
        <f>M34+M38+M42+M43+M44</f>
        <v>1299.2040678345102</v>
      </c>
      <c r="N62" s="11">
        <f>N34+N38+N42+N43+N44</f>
        <v>1605.8096102365298</v>
      </c>
      <c r="O62" s="11">
        <f>O34+O38+O42+O43+O44</f>
        <v>5777.497863404818</v>
      </c>
      <c r="P62" s="11">
        <f>P34+P38+P42+P43+P44</f>
        <v>5813.429738972187</v>
      </c>
    </row>
    <row r="63" spans="1:16" ht="14.25">
      <c r="A63" s="4" t="s">
        <v>48</v>
      </c>
      <c r="C63" s="11">
        <f>C49</f>
        <v>5000</v>
      </c>
      <c r="D63" s="11">
        <f aca="true" t="shared" si="27" ref="D63:I63">D49</f>
        <v>1556.3962569680289</v>
      </c>
      <c r="E63" s="11">
        <f t="shared" si="27"/>
        <v>319.3539397206205</v>
      </c>
      <c r="F63" s="11">
        <f t="shared" si="27"/>
        <v>0</v>
      </c>
      <c r="G63" s="11">
        <f t="shared" si="27"/>
        <v>0</v>
      </c>
      <c r="H63" s="11">
        <f t="shared" si="27"/>
        <v>1000</v>
      </c>
      <c r="I63" s="11">
        <f t="shared" si="27"/>
        <v>1000</v>
      </c>
      <c r="J63" s="11">
        <f>J49</f>
        <v>4629.021526364703</v>
      </c>
      <c r="K63" s="11">
        <f>K49</f>
        <v>5019.732664355937</v>
      </c>
      <c r="L63" s="11">
        <f>L49</f>
        <v>5711.399173051901</v>
      </c>
      <c r="M63" s="11">
        <f>M49</f>
        <v>6705.892778100473</v>
      </c>
      <c r="N63" s="11">
        <f>N49</f>
        <v>8005.096845934983</v>
      </c>
      <c r="O63" s="11">
        <f>O49</f>
        <v>9610.906456171513</v>
      </c>
      <c r="P63" s="11">
        <f>P49</f>
        <v>15388.404319576332</v>
      </c>
    </row>
    <row r="64" spans="1:16" ht="14.25">
      <c r="A64" s="2" t="s">
        <v>50</v>
      </c>
      <c r="C64" s="19">
        <f>SUM(C62:C63)</f>
        <v>6556.39625696803</v>
      </c>
      <c r="D64" s="19">
        <f aca="true" t="shared" si="28" ref="D64:I64">SUM(D62:D63)</f>
        <v>319.3539397206205</v>
      </c>
      <c r="E64" s="19">
        <f t="shared" si="28"/>
        <v>-3894.451372127118</v>
      </c>
      <c r="F64" s="19">
        <f t="shared" si="28"/>
        <v>-2276.125396365739</v>
      </c>
      <c r="G64" s="19">
        <f t="shared" si="28"/>
        <v>2257.4405715062385</v>
      </c>
      <c r="H64" s="19">
        <f t="shared" si="28"/>
        <v>3555.860636286775</v>
      </c>
      <c r="I64" s="19">
        <f t="shared" si="28"/>
        <v>6986.297087064547</v>
      </c>
      <c r="J64" s="19">
        <f>SUM(J62:J63)</f>
        <v>5019.732664355937</v>
      </c>
      <c r="K64" s="19">
        <f>SUM(K62:K63)</f>
        <v>5711.399173051901</v>
      </c>
      <c r="L64" s="19">
        <f>SUM(L62:L63)</f>
        <v>6705.892778100473</v>
      </c>
      <c r="M64" s="19">
        <f>SUM(M62:M63)</f>
        <v>8005.096845934983</v>
      </c>
      <c r="N64" s="19">
        <f>SUM(N62:N63)</f>
        <v>9610.906456171513</v>
      </c>
      <c r="O64" s="19">
        <f>SUM(O62:O63)</f>
        <v>15388.404319576332</v>
      </c>
      <c r="P64" s="19">
        <f>SUM(P62:P63)</f>
        <v>21201.83405854852</v>
      </c>
    </row>
    <row r="65" spans="1:16" ht="14.25">
      <c r="A65" s="4" t="s">
        <v>53</v>
      </c>
      <c r="C65" s="11">
        <f>IF(C64&gt;$C$98,-$C$98,0)</f>
        <v>-1000</v>
      </c>
      <c r="D65" s="11">
        <f aca="true" t="shared" si="29" ref="D65:I65">IF(D64&gt;$C$98,-$C$98,0)</f>
        <v>0</v>
      </c>
      <c r="E65" s="11">
        <f t="shared" si="29"/>
        <v>0</v>
      </c>
      <c r="F65" s="11">
        <f t="shared" si="29"/>
        <v>0</v>
      </c>
      <c r="G65" s="11">
        <f t="shared" si="29"/>
        <v>-1000</v>
      </c>
      <c r="H65" s="11">
        <f t="shared" si="29"/>
        <v>-1000</v>
      </c>
      <c r="I65" s="11">
        <f t="shared" si="29"/>
        <v>-1000</v>
      </c>
      <c r="J65" s="11">
        <f>IF(J64&gt;$C$98,-$C$98,0)</f>
        <v>-1000</v>
      </c>
      <c r="K65" s="11">
        <f>IF(K64&gt;$C$98,-$C$98,0)</f>
        <v>-1000</v>
      </c>
      <c r="L65" s="11">
        <f>IF(L64&gt;$C$98,-$C$98,0)</f>
        <v>-1000</v>
      </c>
      <c r="M65" s="11">
        <f>IF(M64&gt;$C$98,-$C$98,0)</f>
        <v>-1000</v>
      </c>
      <c r="N65" s="11">
        <f>IF(N64&gt;$C$98,-$C$98,0)</f>
        <v>-1000</v>
      </c>
      <c r="O65" s="11">
        <f>IF(O64&gt;$C$98,-$C$98,0)</f>
        <v>-1000</v>
      </c>
      <c r="P65" s="11">
        <f>IF(P64&gt;$C$98,-$C$98,0)</f>
        <v>-1000</v>
      </c>
    </row>
    <row r="66" spans="1:16" ht="14.25">
      <c r="A66" s="2" t="s">
        <v>49</v>
      </c>
      <c r="C66" s="19">
        <f>C64+C65</f>
        <v>5556.39625696803</v>
      </c>
      <c r="D66" s="19">
        <f aca="true" t="shared" si="30" ref="D66:I66">D64+D65</f>
        <v>319.3539397206205</v>
      </c>
      <c r="E66" s="19">
        <f t="shared" si="30"/>
        <v>-3894.451372127118</v>
      </c>
      <c r="F66" s="19">
        <f t="shared" si="30"/>
        <v>-2276.125396365739</v>
      </c>
      <c r="G66" s="19">
        <f t="shared" si="30"/>
        <v>1257.4405715062385</v>
      </c>
      <c r="H66" s="19">
        <f t="shared" si="30"/>
        <v>2555.860636286775</v>
      </c>
      <c r="I66" s="19">
        <f t="shared" si="30"/>
        <v>5986.297087064547</v>
      </c>
      <c r="J66" s="19">
        <f>J64+J65</f>
        <v>4019.7326643559372</v>
      </c>
      <c r="K66" s="19">
        <f>K64+K65</f>
        <v>4711.399173051901</v>
      </c>
      <c r="L66" s="19">
        <f>L64+L65</f>
        <v>5705.892778100473</v>
      </c>
      <c r="M66" s="19">
        <f>M64+M65</f>
        <v>7005.096845934983</v>
      </c>
      <c r="N66" s="19">
        <f>N64+N65</f>
        <v>8610.906456171513</v>
      </c>
      <c r="O66" s="19">
        <f>O64+O65</f>
        <v>14388.404319576332</v>
      </c>
      <c r="P66" s="19">
        <f>P64+P65</f>
        <v>20201.83405854852</v>
      </c>
    </row>
    <row r="68" spans="1:16" ht="14.25">
      <c r="A68" s="2" t="s">
        <v>51</v>
      </c>
      <c r="C68" s="11">
        <f>B17</f>
        <v>5000</v>
      </c>
      <c r="D68" s="11">
        <f aca="true" t="shared" si="31" ref="D68:I68">C17</f>
        <v>0</v>
      </c>
      <c r="E68" s="11">
        <f t="shared" si="31"/>
        <v>0</v>
      </c>
      <c r="F68" s="11">
        <f t="shared" si="31"/>
        <v>3894.451372127118</v>
      </c>
      <c r="G68" s="11">
        <f t="shared" si="31"/>
        <v>6170.576768492857</v>
      </c>
      <c r="H68" s="11">
        <f t="shared" si="31"/>
        <v>4913.136196986618</v>
      </c>
      <c r="I68" s="11">
        <f t="shared" si="31"/>
        <v>2357.2755606998435</v>
      </c>
      <c r="J68" s="11">
        <f>I17</f>
        <v>0</v>
      </c>
      <c r="K68" s="11">
        <f>J17</f>
        <v>0</v>
      </c>
      <c r="L68" s="11">
        <f>K17</f>
        <v>0</v>
      </c>
      <c r="M68" s="11">
        <f>L17</f>
        <v>0</v>
      </c>
      <c r="N68" s="11">
        <f>M17</f>
        <v>0</v>
      </c>
      <c r="O68" s="11">
        <f>N17</f>
        <v>0</v>
      </c>
      <c r="P68" s="11">
        <f>O17</f>
        <v>0</v>
      </c>
    </row>
    <row r="69" spans="1:16" ht="15">
      <c r="A69" s="22" t="s">
        <v>52</v>
      </c>
      <c r="B69" s="6"/>
      <c r="C69" s="16">
        <f>-IF(C66&gt;C68,C68,C66)</f>
        <v>-5000</v>
      </c>
      <c r="D69" s="16">
        <f aca="true" t="shared" si="32" ref="D69:I69">-IF(D66&gt;D68,D68,D66)</f>
        <v>0</v>
      </c>
      <c r="E69" s="16">
        <f t="shared" si="32"/>
        <v>3894.451372127118</v>
      </c>
      <c r="F69" s="16">
        <f t="shared" si="32"/>
        <v>2276.125396365739</v>
      </c>
      <c r="G69" s="16">
        <f t="shared" si="32"/>
        <v>-1257.4405715062385</v>
      </c>
      <c r="H69" s="16">
        <f t="shared" si="32"/>
        <v>-2555.860636286775</v>
      </c>
      <c r="I69" s="16">
        <f t="shared" si="32"/>
        <v>-2357.2755606998435</v>
      </c>
      <c r="J69" s="16">
        <f>-IF(J66&gt;J68,J68,J66)</f>
        <v>0</v>
      </c>
      <c r="K69" s="16">
        <f>-IF(K66&gt;K68,K68,K66)</f>
        <v>0</v>
      </c>
      <c r="L69" s="16">
        <f>-IF(L66&gt;L68,L68,L66)</f>
        <v>0</v>
      </c>
      <c r="M69" s="16">
        <f>-IF(M66&gt;M68,M68,M66)</f>
        <v>0</v>
      </c>
      <c r="N69" s="16">
        <f>-IF(N66&gt;N68,N68,N66)</f>
        <v>0</v>
      </c>
      <c r="O69" s="16">
        <f>-IF(O66&gt;O68,O68,O66)</f>
        <v>0</v>
      </c>
      <c r="P69" s="16">
        <f>-IF(P66&gt;P68,P68,P66)</f>
        <v>0</v>
      </c>
    </row>
    <row r="72" spans="1:16" ht="14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="24" customFormat="1" ht="14.25">
      <c r="A73" s="27" t="s">
        <v>57</v>
      </c>
    </row>
    <row r="74" spans="1:2" s="24" customFormat="1" ht="15">
      <c r="A74" s="31" t="str">
        <f>IF(SUM(C79:P79)+SUM(C83:P83)&gt;0,"Credit Failure","")</f>
        <v>Credit Failure</v>
      </c>
      <c r="B74" s="33">
        <f>IF(A74&lt;&gt;"",1,0)</f>
        <v>1</v>
      </c>
    </row>
    <row r="75" s="24" customFormat="1" ht="15">
      <c r="A75" s="31"/>
    </row>
    <row r="76" spans="1:16" s="24" customFormat="1" ht="14.25">
      <c r="A76" s="24" t="s">
        <v>58</v>
      </c>
      <c r="C76" s="29">
        <f>C17</f>
        <v>0</v>
      </c>
      <c r="D76" s="29">
        <f aca="true" t="shared" si="33" ref="D76:P76">D17</f>
        <v>0</v>
      </c>
      <c r="E76" s="29">
        <f t="shared" si="33"/>
        <v>3894.451372127118</v>
      </c>
      <c r="F76" s="29">
        <f t="shared" si="33"/>
        <v>6170.576768492857</v>
      </c>
      <c r="G76" s="29">
        <f t="shared" si="33"/>
        <v>4913.136196986618</v>
      </c>
      <c r="H76" s="29">
        <f t="shared" si="33"/>
        <v>2357.2755606998435</v>
      </c>
      <c r="I76" s="29">
        <f t="shared" si="33"/>
        <v>0</v>
      </c>
      <c r="J76" s="29">
        <f t="shared" si="33"/>
        <v>0</v>
      </c>
      <c r="K76" s="29">
        <f t="shared" si="33"/>
        <v>0</v>
      </c>
      <c r="L76" s="29">
        <f t="shared" si="33"/>
        <v>0</v>
      </c>
      <c r="M76" s="29">
        <f t="shared" si="33"/>
        <v>0</v>
      </c>
      <c r="N76" s="29">
        <f t="shared" si="33"/>
        <v>0</v>
      </c>
      <c r="O76" s="29">
        <f t="shared" si="33"/>
        <v>0</v>
      </c>
      <c r="P76" s="29">
        <f t="shared" si="33"/>
        <v>0</v>
      </c>
    </row>
    <row r="77" spans="1:16" s="24" customFormat="1" ht="14.25">
      <c r="A77" s="24" t="s">
        <v>60</v>
      </c>
      <c r="C77" s="29">
        <f>$B$17</f>
        <v>5000</v>
      </c>
      <c r="D77" s="29">
        <f aca="true" t="shared" si="34" ref="D77:P77">$B$17</f>
        <v>5000</v>
      </c>
      <c r="E77" s="29">
        <f t="shared" si="34"/>
        <v>5000</v>
      </c>
      <c r="F77" s="29">
        <f t="shared" si="34"/>
        <v>5000</v>
      </c>
      <c r="G77" s="29">
        <f t="shared" si="34"/>
        <v>5000</v>
      </c>
      <c r="H77" s="29">
        <f t="shared" si="34"/>
        <v>5000</v>
      </c>
      <c r="I77" s="29">
        <f t="shared" si="34"/>
        <v>5000</v>
      </c>
      <c r="J77" s="29">
        <f t="shared" si="34"/>
        <v>5000</v>
      </c>
      <c r="K77" s="29">
        <f t="shared" si="34"/>
        <v>5000</v>
      </c>
      <c r="L77" s="29">
        <f t="shared" si="34"/>
        <v>5000</v>
      </c>
      <c r="M77" s="29">
        <f t="shared" si="34"/>
        <v>5000</v>
      </c>
      <c r="N77" s="29">
        <f t="shared" si="34"/>
        <v>5000</v>
      </c>
      <c r="O77" s="29">
        <f t="shared" si="34"/>
        <v>5000</v>
      </c>
      <c r="P77" s="29">
        <f t="shared" si="34"/>
        <v>5000</v>
      </c>
    </row>
    <row r="78" spans="3:16" s="24" customFormat="1" ht="14.25">
      <c r="C78" s="28">
        <f>IF(C76&gt;C77,"Overdraw","")</f>
      </c>
      <c r="D78" s="28">
        <f aca="true" t="shared" si="35" ref="D78:P78">IF(D76&gt;D77,"Overdraw","")</f>
      </c>
      <c r="E78" s="28">
        <f t="shared" si="35"/>
      </c>
      <c r="F78" s="28" t="str">
        <f t="shared" si="35"/>
        <v>Overdraw</v>
      </c>
      <c r="G78" s="28">
        <f t="shared" si="35"/>
      </c>
      <c r="H78" s="28">
        <f t="shared" si="35"/>
      </c>
      <c r="I78" s="28">
        <f t="shared" si="35"/>
      </c>
      <c r="J78" s="28">
        <f t="shared" si="35"/>
      </c>
      <c r="K78" s="28">
        <f t="shared" si="35"/>
      </c>
      <c r="L78" s="28">
        <f t="shared" si="35"/>
      </c>
      <c r="M78" s="28">
        <f t="shared" si="35"/>
      </c>
      <c r="N78" s="28">
        <f t="shared" si="35"/>
      </c>
      <c r="O78" s="28">
        <f t="shared" si="35"/>
      </c>
      <c r="P78" s="28">
        <f t="shared" si="35"/>
      </c>
    </row>
    <row r="79" spans="3:16" s="24" customFormat="1" ht="14.25">
      <c r="C79" s="32">
        <f>IF(C78&lt;&gt;"",1,0)</f>
        <v>0</v>
      </c>
      <c r="D79" s="32">
        <f aca="true" t="shared" si="36" ref="D79:P79">IF(D78&lt;&gt;"",1,0)</f>
        <v>0</v>
      </c>
      <c r="E79" s="32">
        <f t="shared" si="36"/>
        <v>0</v>
      </c>
      <c r="F79" s="32">
        <f t="shared" si="36"/>
        <v>1</v>
      </c>
      <c r="G79" s="32">
        <f t="shared" si="36"/>
        <v>0</v>
      </c>
      <c r="H79" s="32">
        <f t="shared" si="36"/>
        <v>0</v>
      </c>
      <c r="I79" s="32">
        <f t="shared" si="36"/>
        <v>0</v>
      </c>
      <c r="J79" s="32">
        <f t="shared" si="36"/>
        <v>0</v>
      </c>
      <c r="K79" s="32">
        <f t="shared" si="36"/>
        <v>0</v>
      </c>
      <c r="L79" s="32">
        <f t="shared" si="36"/>
        <v>0</v>
      </c>
      <c r="M79" s="32">
        <f t="shared" si="36"/>
        <v>0</v>
      </c>
      <c r="N79" s="32">
        <f t="shared" si="36"/>
        <v>0</v>
      </c>
      <c r="O79" s="32">
        <f t="shared" si="36"/>
        <v>0</v>
      </c>
      <c r="P79" s="32">
        <f t="shared" si="36"/>
        <v>0</v>
      </c>
    </row>
    <row r="80" spans="1:16" s="24" customFormat="1" ht="14.25">
      <c r="A80" s="24" t="s">
        <v>55</v>
      </c>
      <c r="C80" s="25">
        <f>C20/C5</f>
        <v>3.0476190476190474</v>
      </c>
      <c r="D80" s="25">
        <f aca="true" t="shared" si="37" ref="D80:P80">D20/D5</f>
        <v>4.142857142857142</v>
      </c>
      <c r="E80" s="25">
        <f t="shared" si="37"/>
        <v>8.207461702996852</v>
      </c>
      <c r="F80" s="25">
        <f t="shared" si="37"/>
        <v>4.878464953204464</v>
      </c>
      <c r="G80" s="25">
        <f t="shared" si="37"/>
        <v>2.232304317894346</v>
      </c>
      <c r="H80" s="25">
        <f t="shared" si="37"/>
        <v>1.776199323094275</v>
      </c>
      <c r="I80" s="25">
        <f t="shared" si="37"/>
        <v>1</v>
      </c>
      <c r="J80" s="25">
        <f t="shared" si="37"/>
        <v>1.6</v>
      </c>
      <c r="K80" s="25">
        <f t="shared" si="37"/>
        <v>1.2</v>
      </c>
      <c r="L80" s="25">
        <f t="shared" si="37"/>
        <v>0.8</v>
      </c>
      <c r="M80" s="25">
        <f t="shared" si="37"/>
        <v>0.4</v>
      </c>
      <c r="N80" s="25">
        <f t="shared" si="37"/>
        <v>0</v>
      </c>
      <c r="O80" s="25">
        <f t="shared" si="37"/>
        <v>0</v>
      </c>
      <c r="P80" s="25">
        <f t="shared" si="37"/>
        <v>0</v>
      </c>
    </row>
    <row r="81" spans="1:16" s="24" customFormat="1" ht="14.25">
      <c r="A81" s="26" t="s">
        <v>56</v>
      </c>
      <c r="B81" s="27"/>
      <c r="C81" s="30">
        <v>2.75</v>
      </c>
      <c r="D81" s="30">
        <v>2.75</v>
      </c>
      <c r="E81" s="30">
        <v>2.75</v>
      </c>
      <c r="F81" s="30">
        <v>2.75</v>
      </c>
      <c r="G81" s="30">
        <v>2.75</v>
      </c>
      <c r="H81" s="30">
        <v>2.75</v>
      </c>
      <c r="I81" s="30">
        <v>2.75</v>
      </c>
      <c r="J81" s="30">
        <v>2.75</v>
      </c>
      <c r="K81" s="30">
        <v>2.75</v>
      </c>
      <c r="L81" s="30">
        <v>2.75</v>
      </c>
      <c r="M81" s="30">
        <v>2.75</v>
      </c>
      <c r="N81" s="30">
        <v>2.75</v>
      </c>
      <c r="O81" s="30">
        <v>2.75</v>
      </c>
      <c r="P81" s="30">
        <v>2.75</v>
      </c>
    </row>
    <row r="82" spans="3:16" s="24" customFormat="1" ht="14.25">
      <c r="C82" s="28" t="str">
        <f>IF(C80&gt;C81,"Bust","")</f>
        <v>Bust</v>
      </c>
      <c r="D82" s="28" t="str">
        <f aca="true" t="shared" si="38" ref="D82:P82">IF(D80&gt;D81,"Bust","")</f>
        <v>Bust</v>
      </c>
      <c r="E82" s="28" t="str">
        <f t="shared" si="38"/>
        <v>Bust</v>
      </c>
      <c r="F82" s="28" t="str">
        <f t="shared" si="38"/>
        <v>Bust</v>
      </c>
      <c r="G82" s="28">
        <f t="shared" si="38"/>
      </c>
      <c r="H82" s="28">
        <f t="shared" si="38"/>
      </c>
      <c r="I82" s="28">
        <f t="shared" si="38"/>
      </c>
      <c r="J82" s="28">
        <f t="shared" si="38"/>
      </c>
      <c r="K82" s="28">
        <f t="shared" si="38"/>
      </c>
      <c r="L82" s="28">
        <f t="shared" si="38"/>
      </c>
      <c r="M82" s="28">
        <f t="shared" si="38"/>
      </c>
      <c r="N82" s="28">
        <f t="shared" si="38"/>
      </c>
      <c r="O82" s="28">
        <f t="shared" si="38"/>
      </c>
      <c r="P82" s="28">
        <f t="shared" si="38"/>
      </c>
    </row>
    <row r="83" spans="3:16" s="24" customFormat="1" ht="14.25">
      <c r="C83" s="32">
        <f>IF(C82&lt;&gt;"",1,0)</f>
        <v>1</v>
      </c>
      <c r="D83" s="32">
        <f>IF(D82&lt;&gt;"",1,0)</f>
        <v>1</v>
      </c>
      <c r="E83" s="32">
        <f>IF(E82&lt;&gt;"",1,0)</f>
        <v>1</v>
      </c>
      <c r="F83" s="32">
        <f>IF(F82&lt;&gt;"",1,0)</f>
        <v>1</v>
      </c>
      <c r="G83" s="32">
        <f>IF(G82&lt;&gt;"",1,0)</f>
        <v>0</v>
      </c>
      <c r="H83" s="32">
        <f>IF(H82&lt;&gt;"",1,0)</f>
        <v>0</v>
      </c>
      <c r="I83" s="32">
        <f>IF(I82&lt;&gt;"",1,0)</f>
        <v>0</v>
      </c>
      <c r="J83" s="32">
        <f>IF(J82&lt;&gt;"",1,0)</f>
        <v>0</v>
      </c>
      <c r="K83" s="32">
        <f>IF(K82&lt;&gt;"",1,0)</f>
        <v>0</v>
      </c>
      <c r="L83" s="32">
        <f>IF(L82&lt;&gt;"",1,0)</f>
        <v>0</v>
      </c>
      <c r="M83" s="32">
        <f>IF(M82&lt;&gt;"",1,0)</f>
        <v>0</v>
      </c>
      <c r="N83" s="32">
        <f>IF(N82&lt;&gt;"",1,0)</f>
        <v>0</v>
      </c>
      <c r="O83" s="32">
        <f>IF(O82&lt;&gt;"",1,0)</f>
        <v>0</v>
      </c>
      <c r="P83" s="32">
        <f>IF(P82&lt;&gt;"",1,0)</f>
        <v>0</v>
      </c>
    </row>
    <row r="84" s="24" customFormat="1" ht="14.25"/>
    <row r="85" s="24" customFormat="1" ht="14.25"/>
    <row r="86" spans="1:16" ht="14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2" ht="14.25">
      <c r="A87" s="12" t="s">
        <v>27</v>
      </c>
      <c r="B87" s="12"/>
    </row>
    <row r="88" spans="1:3" ht="14.25">
      <c r="A88" t="s">
        <v>28</v>
      </c>
      <c r="C88" s="13">
        <v>0.38</v>
      </c>
    </row>
    <row r="90" spans="1:3" ht="14.25">
      <c r="A90" t="s">
        <v>38</v>
      </c>
      <c r="C90" s="13">
        <v>0.01</v>
      </c>
    </row>
    <row r="91" spans="1:3" ht="14.25">
      <c r="A91" t="s">
        <v>29</v>
      </c>
      <c r="C91" s="13">
        <v>0.07</v>
      </c>
    </row>
    <row r="92" spans="1:3" ht="14.25">
      <c r="A92" t="s">
        <v>30</v>
      </c>
      <c r="C92" s="13">
        <v>0.08</v>
      </c>
    </row>
    <row r="93" spans="1:3" ht="14.25">
      <c r="A93" t="s">
        <v>31</v>
      </c>
      <c r="C93" s="13">
        <v>0.12</v>
      </c>
    </row>
    <row r="95" spans="1:4" ht="14.25">
      <c r="A95" t="s">
        <v>41</v>
      </c>
      <c r="C95" s="14">
        <v>7</v>
      </c>
      <c r="D95" t="s">
        <v>42</v>
      </c>
    </row>
    <row r="96" spans="1:4" ht="14.25">
      <c r="A96" t="s">
        <v>43</v>
      </c>
      <c r="C96" s="14">
        <v>5</v>
      </c>
      <c r="D96" t="s">
        <v>44</v>
      </c>
    </row>
    <row r="98" spans="1:3" ht="14.25">
      <c r="A98" t="s">
        <v>45</v>
      </c>
      <c r="C98" s="14">
        <v>1000</v>
      </c>
    </row>
  </sheetData>
  <sheetProtection/>
  <printOptions/>
  <pageMargins left="0.7" right="0.7" top="0.75" bottom="0.75" header="0.3" footer="0.3"/>
  <pageSetup horizontalDpi="600" verticalDpi="600" orientation="landscape" scale="61" r:id="rId1"/>
  <headerFooter>
    <oddFooter>&amp;L&amp;F &amp;D &amp;T&amp;R&amp;P &amp;N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McDermott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</dc:creator>
  <cp:keywords/>
  <dc:description/>
  <cp:lastModifiedBy> Cary Ratterree</cp:lastModifiedBy>
  <dcterms:created xsi:type="dcterms:W3CDTF">2010-07-15T15:46:23Z</dcterms:created>
  <dcterms:modified xsi:type="dcterms:W3CDTF">2010-08-30T15:29:55Z</dcterms:modified>
  <cp:category/>
  <cp:version/>
  <cp:contentType/>
  <cp:contentStatus/>
</cp:coreProperties>
</file>